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3 Cold ironning\CEF\500 Dissemination - OPPE + MARINE TRAFFIC\WEB\"/>
    </mc:Choice>
  </mc:AlternateContent>
  <bookViews>
    <workbookView xWindow="0" yWindow="0" windowWidth="19200" windowHeight="11595" tabRatio="919" activeTab="5"/>
  </bookViews>
  <sheets>
    <sheet name="Instructions" sheetId="27" r:id="rId1"/>
    <sheet name="General data" sheetId="10" r:id="rId2"/>
    <sheet name="Case data" sheetId="26" r:id="rId3"/>
    <sheet name="Port dues reduction" sheetId="22" r:id="rId4"/>
    <sheet name="Calculation" sheetId="25" r:id="rId5"/>
    <sheet name="Simulator" sheetId="11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5" l="1"/>
  <c r="C12" i="11" s="1"/>
  <c r="D4" i="22" l="1"/>
  <c r="G4" i="22" l="1"/>
  <c r="D25" i="25" l="1"/>
  <c r="D26" i="25" s="1"/>
  <c r="D12" i="25"/>
  <c r="D13" i="25" s="1"/>
  <c r="C18" i="26"/>
  <c r="C38" i="25" s="1"/>
  <c r="C19" i="26"/>
  <c r="D32" i="25"/>
  <c r="G19" i="25"/>
  <c r="G21" i="25" s="1"/>
  <c r="D34" i="25" l="1"/>
  <c r="C34" i="25" s="1"/>
  <c r="D14" i="25"/>
  <c r="D15" i="25" s="1"/>
  <c r="D27" i="25"/>
  <c r="D28" i="25" s="1"/>
  <c r="G7" i="25" l="1"/>
  <c r="G13" i="25" s="1"/>
  <c r="C35" i="25"/>
  <c r="C42" i="25" s="1"/>
  <c r="G8" i="25"/>
  <c r="G14" i="25" s="1"/>
  <c r="G6" i="25"/>
  <c r="G12" i="25" s="1"/>
  <c r="G9" i="25"/>
  <c r="G15" i="25" s="1"/>
  <c r="G16" i="25" l="1"/>
  <c r="M21" i="10" l="1"/>
  <c r="M26" i="10" s="1"/>
  <c r="J25" i="10"/>
  <c r="K25" i="10"/>
  <c r="L25" i="10"/>
  <c r="J26" i="10"/>
  <c r="K26" i="10"/>
  <c r="L26" i="10"/>
  <c r="J27" i="10"/>
  <c r="K27" i="10"/>
  <c r="L27" i="10"/>
  <c r="J28" i="10"/>
  <c r="K28" i="10"/>
  <c r="L28" i="10"/>
  <c r="M27" i="10" l="1"/>
  <c r="N27" i="10" s="1"/>
  <c r="H8" i="25" s="1"/>
  <c r="H14" i="25" s="1"/>
  <c r="N26" i="10"/>
  <c r="H7" i="25" s="1"/>
  <c r="H13" i="25" s="1"/>
  <c r="M25" i="10"/>
  <c r="N25" i="10" s="1"/>
  <c r="H6" i="25" s="1"/>
  <c r="H12" i="25" s="1"/>
  <c r="M28" i="10"/>
  <c r="N28" i="10" s="1"/>
  <c r="H9" i="25" s="1"/>
  <c r="H15" i="25" s="1"/>
  <c r="H16" i="25" l="1"/>
  <c r="C4" i="22"/>
  <c r="H4" i="22" l="1"/>
  <c r="I4" i="22" s="1"/>
  <c r="H5" i="11" l="1"/>
  <c r="G11" i="11" l="1"/>
  <c r="H14" i="11"/>
  <c r="G14" i="11"/>
  <c r="G9" i="11" l="1"/>
  <c r="H17" i="11"/>
  <c r="H20" i="11" l="1"/>
  <c r="H19" i="11"/>
  <c r="H18" i="11"/>
  <c r="H10" i="11"/>
  <c r="G10" i="11"/>
  <c r="G8" i="11" s="1"/>
  <c r="C22" i="10" l="1"/>
  <c r="D35" i="25" s="1"/>
  <c r="D42" i="25" s="1"/>
  <c r="H9" i="11" l="1"/>
  <c r="H8" i="11" s="1"/>
</calcChain>
</file>

<file path=xl/sharedStrings.xml><?xml version="1.0" encoding="utf-8"?>
<sst xmlns="http://schemas.openxmlformats.org/spreadsheetml/2006/main" count="229" uniqueCount="164">
  <si>
    <t>kWh</t>
  </si>
  <si>
    <t>kW</t>
  </si>
  <si>
    <t>Ton</t>
  </si>
  <si>
    <t>OPS</t>
  </si>
  <si>
    <t>Euros</t>
  </si>
  <si>
    <t>Renovables</t>
  </si>
  <si>
    <t>F</t>
  </si>
  <si>
    <t>€/tonn</t>
  </si>
  <si>
    <t>WTW</t>
  </si>
  <si>
    <t>B</t>
  </si>
  <si>
    <t>A</t>
  </si>
  <si>
    <t>%</t>
  </si>
  <si>
    <t>CO2</t>
  </si>
  <si>
    <t>PM</t>
  </si>
  <si>
    <t>SO2</t>
  </si>
  <si>
    <t>NOx</t>
  </si>
  <si>
    <t>g/kWh</t>
  </si>
  <si>
    <t>Euros/ton</t>
  </si>
  <si>
    <t>&lt; 1995</t>
  </si>
  <si>
    <t>1995-1999</t>
  </si>
  <si>
    <t>Tier1</t>
  </si>
  <si>
    <t>Tier 2</t>
  </si>
  <si>
    <t>Upstream</t>
  </si>
  <si>
    <t>Fuel</t>
  </si>
  <si>
    <t>SOx</t>
  </si>
  <si>
    <t>dB-A</t>
  </si>
  <si>
    <t>KWh</t>
  </si>
  <si>
    <t>g/kg</t>
  </si>
  <si>
    <t>Coste del ruido al año</t>
  </si>
  <si>
    <t>Euros/dB/h</t>
  </si>
  <si>
    <t>OPS (tons)</t>
  </si>
  <si>
    <t>OPS (Euros)</t>
  </si>
  <si>
    <t>Nuclear</t>
  </si>
  <si>
    <t>Tons</t>
  </si>
  <si>
    <t>GT</t>
  </si>
  <si>
    <t>GT/100</t>
  </si>
  <si>
    <t>c€/kWh</t>
  </si>
  <si>
    <t>gr/kWh</t>
  </si>
  <si>
    <t>LSMGO</t>
  </si>
  <si>
    <t>€</t>
  </si>
  <si>
    <t>€/kW</t>
  </si>
  <si>
    <t>WTW = Integral o 'weel to wheel'</t>
  </si>
  <si>
    <t>TTW    = Local o 'tank to wheel'</t>
  </si>
  <si>
    <t>$/ton</t>
  </si>
  <si>
    <t>(2)</t>
  </si>
  <si>
    <t>(1)</t>
  </si>
  <si>
    <t xml:space="preserve">Modify cells coloured in green to costumerize your business case </t>
  </si>
  <si>
    <t>Modfy any other data provided you have sufficient expertise in this business</t>
  </si>
  <si>
    <t>GENERAL DATA</t>
  </si>
  <si>
    <t>INVESTMENT</t>
  </si>
  <si>
    <t>Interest rate</t>
  </si>
  <si>
    <t>Amortization period</t>
  </si>
  <si>
    <t>years</t>
  </si>
  <si>
    <t>Electricity</t>
  </si>
  <si>
    <t>Power</t>
  </si>
  <si>
    <t>Consumption</t>
  </si>
  <si>
    <t>Exchange rate (€/$)</t>
  </si>
  <si>
    <t>Generation level</t>
  </si>
  <si>
    <t>Grid fee</t>
  </si>
  <si>
    <t>Exceeded power charge</t>
  </si>
  <si>
    <t>Exceeded reactive power charge</t>
  </si>
  <si>
    <t>Comercialization fee</t>
  </si>
  <si>
    <t>Reduced tax on electricity consumption</t>
  </si>
  <si>
    <t>EMISION COSTS</t>
  </si>
  <si>
    <t>NOISE COST</t>
  </si>
  <si>
    <t>PRICE</t>
  </si>
  <si>
    <t>EMISION FACTORS</t>
  </si>
  <si>
    <t>Emision factors by fuel power source</t>
  </si>
  <si>
    <t>Spanish mix for
electricity generation</t>
  </si>
  <si>
    <t>Emision factors for
electricity in Spain</t>
  </si>
  <si>
    <t>Coal</t>
  </si>
  <si>
    <t>NG</t>
  </si>
  <si>
    <t>Sum</t>
  </si>
  <si>
    <t>INSTRUCTIONS</t>
  </si>
  <si>
    <t>CASE DATA</t>
  </si>
  <si>
    <t>PROJECT</t>
  </si>
  <si>
    <t>Port</t>
  </si>
  <si>
    <t>Ship/s</t>
  </si>
  <si>
    <t>Quay/s</t>
  </si>
  <si>
    <t>(name of)</t>
  </si>
  <si>
    <t>Connecting points</t>
  </si>
  <si>
    <t>Ships</t>
  </si>
  <si>
    <t>Auxiliary engines</t>
  </si>
  <si>
    <t>Calls per ship</t>
  </si>
  <si>
    <t>Averaged stay at berth</t>
  </si>
  <si>
    <t>Time connected</t>
  </si>
  <si>
    <t>Facility use rate</t>
  </si>
  <si>
    <t>units</t>
  </si>
  <si>
    <t>hours</t>
  </si>
  <si>
    <t>DATA</t>
  </si>
  <si>
    <t>Representative ship parameters</t>
  </si>
  <si>
    <t>LEGAL 50 % DISCOUNT</t>
  </si>
  <si>
    <t>Time at berth (hours)</t>
  </si>
  <si>
    <t>Ship due (€/100 GT)</t>
  </si>
  <si>
    <t>Reduction coeficient</t>
  </si>
  <si>
    <t>Calls</t>
  </si>
  <si>
    <t>Ship due (€)</t>
  </si>
  <si>
    <t>Bonus (€)</t>
  </si>
  <si>
    <t>CALCULATION</t>
  </si>
  <si>
    <t>Investment on-shore</t>
  </si>
  <si>
    <t>Voltage transformation</t>
  </si>
  <si>
    <t>Frequency convertor</t>
  </si>
  <si>
    <t>Control, protection, cables, etc.</t>
  </si>
  <si>
    <t>Civil works</t>
  </si>
  <si>
    <t>Handling equipment of electric cable</t>
  </si>
  <si>
    <t>Total investment</t>
  </si>
  <si>
    <t>Investment after bonification</t>
  </si>
  <si>
    <t>Annual cost of facility</t>
  </si>
  <si>
    <t>Ship adaptation</t>
  </si>
  <si>
    <t>Control pannel</t>
  </si>
  <si>
    <t>Cabling</t>
  </si>
  <si>
    <t>LVS modification and sincronization</t>
  </si>
  <si>
    <t>Other costs</t>
  </si>
  <si>
    <t>Maintenance and others (2 % investment)</t>
  </si>
  <si>
    <t>Investment annual cost (6 % 10 years)</t>
  </si>
  <si>
    <t>Annual cost of ship adaptation</t>
  </si>
  <si>
    <t>DIESSEL</t>
  </si>
  <si>
    <t xml:space="preserve">Consumption &amp; power (average) </t>
  </si>
  <si>
    <t>Annual fuel consumption</t>
  </si>
  <si>
    <t>Annual fuel cost</t>
  </si>
  <si>
    <t>Engines cost</t>
  </si>
  <si>
    <t>Hourly cost of engines</t>
  </si>
  <si>
    <t>Annual cost</t>
  </si>
  <si>
    <t>Port dues on ships bonus</t>
  </si>
  <si>
    <t>Sum of operational costs</t>
  </si>
  <si>
    <t>Operational</t>
  </si>
  <si>
    <t>Emisions</t>
  </si>
  <si>
    <t>Noise</t>
  </si>
  <si>
    <t>Cost</t>
  </si>
  <si>
    <t>Investments</t>
  </si>
  <si>
    <t>RESULTS</t>
  </si>
  <si>
    <t>Pollution reduction</t>
  </si>
  <si>
    <t>HYPOTHESIS AND RESULS OF SIMULATION</t>
  </si>
  <si>
    <t>HYPOTHESIS</t>
  </si>
  <si>
    <t>Perspective of simulation</t>
  </si>
  <si>
    <t>F = Finance</t>
  </si>
  <si>
    <t>E = Socio-economic</t>
  </si>
  <si>
    <t>Public funding</t>
  </si>
  <si>
    <t>Cofinance of onshore facility</t>
  </si>
  <si>
    <t>Cofinance of ship adaptation</t>
  </si>
  <si>
    <t>Port dues on ship bonus</t>
  </si>
  <si>
    <t>Competition position of fosil fuel vs electricity</t>
  </si>
  <si>
    <t>A = today's</t>
  </si>
  <si>
    <t>B = worse (+1 % fuel +0,5 % kWh)</t>
  </si>
  <si>
    <t>C = much worse (+3 % fuel +1 % kWh)</t>
  </si>
  <si>
    <t>External CO2 cost level</t>
  </si>
  <si>
    <t xml:space="preserve"> 10 = Low ( short term vision)</t>
  </si>
  <si>
    <t xml:space="preserve"> 25 = Medium</t>
  </si>
  <si>
    <t>100 = High (long term vision)</t>
  </si>
  <si>
    <t>Population density in surrondings</t>
  </si>
  <si>
    <t>B = Low</t>
  </si>
  <si>
    <t>M = Medium</t>
  </si>
  <si>
    <t>A = High</t>
  </si>
  <si>
    <t>Reach of emission cost estimation</t>
  </si>
  <si>
    <t>Noise pollution</t>
  </si>
  <si>
    <t>Atmospheric emission pollution</t>
  </si>
  <si>
    <t>Volumes estimation</t>
  </si>
  <si>
    <t>External cost estimation</t>
  </si>
  <si>
    <t>Diessel (tons)</t>
  </si>
  <si>
    <t>Sum noise cost</t>
  </si>
  <si>
    <t>Sum emissions cost</t>
  </si>
  <si>
    <t>Affected population</t>
  </si>
  <si>
    <t>Noise reduction in db(A)</t>
  </si>
  <si>
    <t>inhabitans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</si>
</sst>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0.0000000"/>
    <numFmt numFmtId="168" formatCode="_-* #,##0.000\ _€_-;\-* #,##0.0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0" fontId="0" fillId="0" borderId="0" xfId="0" applyFill="1" applyBorder="1"/>
    <xf numFmtId="43" fontId="0" fillId="0" borderId="0" xfId="1" applyFont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left" indent="1"/>
    </xf>
    <xf numFmtId="0" fontId="0" fillId="0" borderId="14" xfId="0" applyFill="1" applyBorder="1" applyAlignment="1">
      <alignment horizontal="left" indent="2"/>
    </xf>
    <xf numFmtId="0" fontId="0" fillId="0" borderId="16" xfId="0" applyFill="1" applyBorder="1" applyAlignment="1">
      <alignment horizontal="left" indent="2"/>
    </xf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left" indent="1"/>
    </xf>
    <xf numFmtId="0" fontId="0" fillId="2" borderId="20" xfId="0" applyFill="1" applyBorder="1"/>
    <xf numFmtId="0" fontId="0" fillId="2" borderId="21" xfId="0" applyFill="1" applyBorder="1" applyAlignment="1">
      <alignment horizontal="center"/>
    </xf>
    <xf numFmtId="0" fontId="0" fillId="2" borderId="22" xfId="0" applyFill="1" applyBorder="1"/>
    <xf numFmtId="0" fontId="0" fillId="0" borderId="0" xfId="0"/>
    <xf numFmtId="0" fontId="0" fillId="0" borderId="0" xfId="0"/>
    <xf numFmtId="0" fontId="3" fillId="0" borderId="0" xfId="0" applyFont="1"/>
    <xf numFmtId="165" fontId="0" fillId="0" borderId="0" xfId="43" applyNumberFormat="1" applyFont="1" applyBorder="1"/>
    <xf numFmtId="0" fontId="0" fillId="0" borderId="14" xfId="0" applyBorder="1" applyAlignment="1">
      <alignment horizontal="center"/>
    </xf>
    <xf numFmtId="164" fontId="0" fillId="0" borderId="0" xfId="1" applyNumberFormat="1" applyFont="1" applyBorder="1"/>
    <xf numFmtId="0" fontId="0" fillId="0" borderId="16" xfId="0" applyBorder="1" applyAlignment="1">
      <alignment horizontal="center"/>
    </xf>
    <xf numFmtId="164" fontId="0" fillId="0" borderId="17" xfId="1" applyNumberFormat="1" applyFont="1" applyBorder="1"/>
    <xf numFmtId="0" fontId="0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3" fontId="0" fillId="0" borderId="0" xfId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14" xfId="0" applyBorder="1" applyAlignment="1"/>
    <xf numFmtId="43" fontId="0" fillId="0" borderId="0" xfId="1" applyNumberFormat="1" applyFont="1" applyBorder="1" applyAlignment="1">
      <alignment horizontal="center"/>
    </xf>
    <xf numFmtId="43" fontId="0" fillId="0" borderId="17" xfId="1" applyFont="1" applyBorder="1" applyAlignment="1">
      <alignment horizontal="center"/>
    </xf>
    <xf numFmtId="0" fontId="3" fillId="2" borderId="12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0" borderId="0" xfId="0" applyFill="1" applyBorder="1" applyAlignment="1">
      <alignment horizontal="center"/>
    </xf>
    <xf numFmtId="0" fontId="3" fillId="0" borderId="14" xfId="0" applyFont="1" applyFill="1" applyBorder="1"/>
    <xf numFmtId="0" fontId="0" fillId="0" borderId="15" xfId="0" applyFill="1" applyBorder="1"/>
    <xf numFmtId="0" fontId="0" fillId="0" borderId="0" xfId="0" applyFill="1"/>
    <xf numFmtId="0" fontId="3" fillId="0" borderId="14" xfId="0" applyFont="1" applyBorder="1"/>
    <xf numFmtId="0" fontId="0" fillId="0" borderId="1" xfId="0" quotePrefix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24" xfId="1" applyFont="1" applyBorder="1"/>
    <xf numFmtId="0" fontId="0" fillId="0" borderId="14" xfId="0" applyBorder="1" applyAlignment="1">
      <alignment horizontal="left"/>
    </xf>
    <xf numFmtId="43" fontId="0" fillId="0" borderId="15" xfId="1" applyFont="1" applyBorder="1"/>
    <xf numFmtId="43" fontId="0" fillId="0" borderId="1" xfId="1" applyFont="1" applyBorder="1"/>
    <xf numFmtId="43" fontId="0" fillId="0" borderId="11" xfId="0" applyNumberFormat="1" applyBorder="1" applyAlignment="1">
      <alignment horizontal="center"/>
    </xf>
    <xf numFmtId="164" fontId="0" fillId="0" borderId="11" xfId="1" applyNumberFormat="1" applyFont="1" applyBorder="1"/>
    <xf numFmtId="43" fontId="0" fillId="0" borderId="23" xfId="1" applyFont="1" applyBorder="1"/>
    <xf numFmtId="43" fontId="0" fillId="0" borderId="11" xfId="1" applyFont="1" applyBorder="1"/>
    <xf numFmtId="164" fontId="0" fillId="0" borderId="11" xfId="0" applyNumberFormat="1" applyBorder="1"/>
    <xf numFmtId="0" fontId="3" fillId="0" borderId="15" xfId="0" applyFont="1" applyBorder="1" applyAlignment="1">
      <alignment horizontal="center"/>
    </xf>
    <xf numFmtId="43" fontId="0" fillId="0" borderId="25" xfId="1" applyFont="1" applyBorder="1"/>
    <xf numFmtId="43" fontId="0" fillId="0" borderId="0" xfId="0" applyNumberFormat="1" applyBorder="1" applyAlignment="1">
      <alignment horizontal="center"/>
    </xf>
    <xf numFmtId="43" fontId="0" fillId="0" borderId="0" xfId="1" applyFont="1" applyBorder="1"/>
    <xf numFmtId="0" fontId="0" fillId="0" borderId="23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1" xfId="1" applyFont="1" applyBorder="1" applyAlignment="1">
      <alignment vertical="center"/>
    </xf>
    <xf numFmtId="164" fontId="0" fillId="0" borderId="11" xfId="0" applyNumberFormat="1" applyBorder="1" applyAlignment="1">
      <alignment horizontal="center"/>
    </xf>
    <xf numFmtId="43" fontId="0" fillId="0" borderId="0" xfId="1" applyFont="1" applyFill="1" applyBorder="1"/>
    <xf numFmtId="0" fontId="0" fillId="0" borderId="0" xfId="0"/>
    <xf numFmtId="43" fontId="0" fillId="0" borderId="15" xfId="1" applyFont="1" applyBorder="1" applyAlignment="1">
      <alignment horizontal="center"/>
    </xf>
    <xf numFmtId="0" fontId="0" fillId="0" borderId="14" xfId="0" applyFill="1" applyBorder="1"/>
    <xf numFmtId="164" fontId="0" fillId="0" borderId="11" xfId="1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4" borderId="14" xfId="0" applyFill="1" applyBorder="1"/>
    <xf numFmtId="0" fontId="0" fillId="0" borderId="14" xfId="0" applyBorder="1" applyAlignment="1">
      <alignment horizontal="right"/>
    </xf>
    <xf numFmtId="0" fontId="0" fillId="0" borderId="14" xfId="0" applyFill="1" applyBorder="1" applyAlignment="1"/>
    <xf numFmtId="43" fontId="0" fillId="0" borderId="15" xfId="0" applyNumberFormat="1" applyBorder="1"/>
    <xf numFmtId="0" fontId="0" fillId="34" borderId="14" xfId="0" applyFill="1" applyBorder="1" applyAlignment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0" fillId="0" borderId="16" xfId="0" applyFill="1" applyBorder="1" applyAlignment="1">
      <alignment horizontal="left" indent="1"/>
    </xf>
    <xf numFmtId="0" fontId="3" fillId="2" borderId="20" xfId="0" applyFont="1" applyFill="1" applyBorder="1" applyAlignment="1">
      <alignment horizontal="left"/>
    </xf>
    <xf numFmtId="0" fontId="0" fillId="2" borderId="21" xfId="0" applyFill="1" applyBorder="1"/>
    <xf numFmtId="43" fontId="0" fillId="0" borderId="0" xfId="0" applyNumberFormat="1"/>
    <xf numFmtId="3" fontId="0" fillId="0" borderId="11" xfId="0" applyNumberFormat="1" applyBorder="1" applyAlignment="1">
      <alignment horizontal="center"/>
    </xf>
    <xf numFmtId="43" fontId="0" fillId="0" borderId="0" xfId="1" applyFont="1" applyBorder="1" applyAlignment="1">
      <alignment vertical="center"/>
    </xf>
    <xf numFmtId="164" fontId="0" fillId="0" borderId="0" xfId="0" applyNumberFormat="1" applyBorder="1"/>
    <xf numFmtId="164" fontId="0" fillId="0" borderId="15" xfId="0" applyNumberFormat="1" applyBorder="1"/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3" fontId="0" fillId="0" borderId="11" xfId="0" applyNumberFormat="1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right"/>
    </xf>
    <xf numFmtId="0" fontId="0" fillId="0" borderId="14" xfId="0" applyBorder="1" applyAlignment="1">
      <alignment horizontal="right" indent="1"/>
    </xf>
    <xf numFmtId="164" fontId="0" fillId="0" borderId="15" xfId="1" applyNumberFormat="1" applyFont="1" applyBorder="1"/>
    <xf numFmtId="164" fontId="3" fillId="0" borderId="15" xfId="1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5" xfId="0" applyBorder="1" applyAlignment="1">
      <alignment horizontal="center"/>
    </xf>
    <xf numFmtId="43" fontId="0" fillId="0" borderId="0" xfId="1" applyFont="1" applyFill="1"/>
    <xf numFmtId="0" fontId="3" fillId="0" borderId="14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right" indent="1"/>
    </xf>
    <xf numFmtId="164" fontId="0" fillId="0" borderId="0" xfId="1" applyNumberFormat="1" applyFont="1"/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3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0" fontId="19" fillId="0" borderId="0" xfId="45" applyAlignment="1">
      <alignment vertical="center"/>
    </xf>
    <xf numFmtId="167" fontId="0" fillId="0" borderId="0" xfId="0" applyNumberForma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166" fontId="0" fillId="0" borderId="0" xfId="0" applyNumberFormat="1" applyFill="1"/>
    <xf numFmtId="0" fontId="3" fillId="0" borderId="0" xfId="0" applyFont="1" applyFill="1" applyAlignment="1">
      <alignment horizontal="center"/>
    </xf>
    <xf numFmtId="0" fontId="19" fillId="0" borderId="0" xfId="45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68" fontId="0" fillId="0" borderId="0" xfId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35" borderId="0" xfId="0" applyFill="1"/>
    <xf numFmtId="0" fontId="3" fillId="2" borderId="20" xfId="0" applyFont="1" applyFill="1" applyBorder="1" applyAlignment="1">
      <alignment horizontal="center"/>
    </xf>
    <xf numFmtId="0" fontId="0" fillId="34" borderId="12" xfId="0" applyFill="1" applyBorder="1"/>
    <xf numFmtId="0" fontId="0" fillId="0" borderId="19" xfId="0" applyBorder="1" applyAlignment="1">
      <alignment horizontal="center"/>
    </xf>
    <xf numFmtId="0" fontId="0" fillId="0" borderId="13" xfId="0" applyBorder="1"/>
    <xf numFmtId="0" fontId="0" fillId="0" borderId="19" xfId="0" applyBorder="1"/>
    <xf numFmtId="0" fontId="3" fillId="0" borderId="16" xfId="0" applyFont="1" applyFill="1" applyBorder="1" applyAlignment="1">
      <alignment horizontal="right"/>
    </xf>
    <xf numFmtId="0" fontId="20" fillId="0" borderId="1" xfId="44" applyFont="1" applyFill="1" applyBorder="1" applyAlignment="1">
      <alignment horizontal="center" wrapText="1"/>
    </xf>
    <xf numFmtId="43" fontId="3" fillId="0" borderId="1" xfId="1" applyFon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0" borderId="14" xfId="0" applyFont="1" applyFill="1" applyBorder="1" applyAlignment="1">
      <alignment horizontal="left" indent="1"/>
    </xf>
    <xf numFmtId="0" fontId="0" fillId="0" borderId="14" xfId="0" applyBorder="1" applyAlignment="1">
      <alignment vertical="center"/>
    </xf>
    <xf numFmtId="164" fontId="0" fillId="36" borderId="0" xfId="1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11" xfId="0" applyFill="1" applyBorder="1" applyAlignment="1">
      <alignment horizontal="center"/>
    </xf>
    <xf numFmtId="43" fontId="0" fillId="36" borderId="15" xfId="0" applyNumberFormat="1" applyFill="1" applyBorder="1"/>
    <xf numFmtId="1" fontId="0" fillId="36" borderId="11" xfId="0" applyNumberFormat="1" applyFill="1" applyBorder="1" applyAlignment="1">
      <alignment horizontal="center"/>
    </xf>
    <xf numFmtId="0" fontId="0" fillId="35" borderId="0" xfId="0" applyFill="1" applyAlignment="1">
      <alignment horizontal="center"/>
    </xf>
    <xf numFmtId="1" fontId="0" fillId="36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14" xfId="0" applyFont="1" applyBorder="1" applyAlignment="1">
      <alignment horizontal="left" wrapText="1"/>
    </xf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5" builtinId="8"/>
    <cellStyle name="Incorrecto" xfId="8" builtinId="27" customBuiltin="1"/>
    <cellStyle name="Millares" xfId="1" builtinId="3"/>
    <cellStyle name="Millares 2" xfId="43"/>
    <cellStyle name="Millares 3" xfId="46"/>
    <cellStyle name="Neutral" xfId="9" builtinId="28" customBuiltin="1"/>
    <cellStyle name="Normal" xfId="0" builtinId="0"/>
    <cellStyle name="Normal_Datos" xfId="4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"/>
    </sheetView>
  </sheetViews>
  <sheetFormatPr baseColWidth="10" defaultRowHeight="15" x14ac:dyDescent="0.25"/>
  <cols>
    <col min="1" max="1" width="14.28515625" style="5" customWidth="1"/>
  </cols>
  <sheetData>
    <row r="1" spans="1:2" x14ac:dyDescent="0.25">
      <c r="A1" s="153" t="s">
        <v>73</v>
      </c>
    </row>
    <row r="4" spans="1:2" x14ac:dyDescent="0.25">
      <c r="A4" s="155" t="s">
        <v>45</v>
      </c>
      <c r="B4" t="s">
        <v>46</v>
      </c>
    </row>
    <row r="5" spans="1:2" x14ac:dyDescent="0.25">
      <c r="A5" s="155" t="s">
        <v>44</v>
      </c>
      <c r="B5" t="s">
        <v>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workbookViewId="0">
      <selection activeCell="C33" sqref="C33"/>
    </sheetView>
  </sheetViews>
  <sheetFormatPr baseColWidth="10" defaultRowHeight="15" x14ac:dyDescent="0.25"/>
  <cols>
    <col min="1" max="1" width="3.5703125" customWidth="1"/>
    <col min="2" max="2" width="37" customWidth="1"/>
    <col min="3" max="3" width="13" bestFit="1" customWidth="1"/>
    <col min="7" max="7" width="12" bestFit="1" customWidth="1"/>
    <col min="9" max="9" width="22.28515625" customWidth="1"/>
    <col min="11" max="11" width="14.5703125" bestFit="1" customWidth="1"/>
    <col min="13" max="13" width="13.42578125" style="3" bestFit="1" customWidth="1"/>
    <col min="15" max="16" width="13" bestFit="1" customWidth="1"/>
  </cols>
  <sheetData>
    <row r="1" spans="2:15" ht="15.75" thickBot="1" x14ac:dyDescent="0.3">
      <c r="B1" s="136" t="s">
        <v>48</v>
      </c>
      <c r="M1"/>
    </row>
    <row r="2" spans="2:15" ht="15.75" thickBot="1" x14ac:dyDescent="0.3">
      <c r="B2" s="88" t="s">
        <v>49</v>
      </c>
      <c r="C2" s="89"/>
      <c r="D2" s="21"/>
      <c r="I2" s="41" t="s">
        <v>66</v>
      </c>
      <c r="J2" s="42"/>
      <c r="K2" s="42"/>
      <c r="L2" s="42"/>
      <c r="M2" s="42"/>
      <c r="N2" s="43"/>
    </row>
    <row r="3" spans="2:15" x14ac:dyDescent="0.25">
      <c r="B3" s="10"/>
      <c r="C3" s="1"/>
      <c r="D3" s="9"/>
      <c r="I3" s="45"/>
      <c r="J3" s="2"/>
      <c r="K3" s="2"/>
      <c r="L3" s="2"/>
      <c r="M3" s="2"/>
      <c r="N3" s="46"/>
      <c r="O3" s="47"/>
    </row>
    <row r="4" spans="2:15" x14ac:dyDescent="0.25">
      <c r="B4" s="10" t="s">
        <v>50</v>
      </c>
      <c r="C4" s="50">
        <v>6</v>
      </c>
      <c r="D4" s="51" t="s">
        <v>11</v>
      </c>
      <c r="I4" s="45" t="s">
        <v>23</v>
      </c>
      <c r="J4" s="2"/>
      <c r="K4" s="2"/>
      <c r="L4" s="2"/>
      <c r="M4" s="2"/>
      <c r="N4" s="46"/>
      <c r="O4" s="47"/>
    </row>
    <row r="5" spans="2:15" ht="15.75" thickBot="1" x14ac:dyDescent="0.3">
      <c r="B5" s="17" t="s">
        <v>51</v>
      </c>
      <c r="C5" s="52">
        <v>10</v>
      </c>
      <c r="D5" s="53" t="s">
        <v>52</v>
      </c>
      <c r="I5" s="31" t="s">
        <v>27</v>
      </c>
      <c r="J5" s="49" t="s">
        <v>18</v>
      </c>
      <c r="K5" s="4" t="s">
        <v>19</v>
      </c>
      <c r="L5" s="4" t="s">
        <v>20</v>
      </c>
      <c r="M5" s="4" t="s">
        <v>21</v>
      </c>
      <c r="N5" s="67" t="s">
        <v>22</v>
      </c>
      <c r="O5" s="129"/>
    </row>
    <row r="6" spans="2:15" ht="15.75" thickBot="1" x14ac:dyDescent="0.3">
      <c r="I6" s="26" t="s">
        <v>12</v>
      </c>
      <c r="J6" s="71">
        <v>3170</v>
      </c>
      <c r="K6" s="71">
        <v>3170</v>
      </c>
      <c r="L6" s="71">
        <v>3170</v>
      </c>
      <c r="M6" s="71">
        <v>3170</v>
      </c>
      <c r="N6" s="9">
        <v>713</v>
      </c>
      <c r="O6" s="128"/>
    </row>
    <row r="7" spans="2:15" x14ac:dyDescent="0.25">
      <c r="B7" s="41" t="s">
        <v>65</v>
      </c>
      <c r="C7" s="42"/>
      <c r="D7" s="42"/>
      <c r="E7" s="43"/>
      <c r="I7" s="26" t="s">
        <v>14</v>
      </c>
      <c r="J7" s="71">
        <v>2</v>
      </c>
      <c r="K7" s="71">
        <v>2</v>
      </c>
      <c r="L7" s="71">
        <v>2</v>
      </c>
      <c r="M7" s="71">
        <v>2</v>
      </c>
      <c r="N7" s="9">
        <v>4.2</v>
      </c>
      <c r="O7" s="128"/>
    </row>
    <row r="8" spans="2:15" x14ac:dyDescent="0.25">
      <c r="B8" s="10"/>
      <c r="C8" s="1"/>
      <c r="D8" s="1"/>
      <c r="E8" s="9"/>
      <c r="I8" s="26" t="s">
        <v>15</v>
      </c>
      <c r="J8" s="71">
        <v>74</v>
      </c>
      <c r="K8" s="71">
        <v>59</v>
      </c>
      <c r="L8" s="71">
        <v>49</v>
      </c>
      <c r="M8" s="71">
        <v>39</v>
      </c>
      <c r="N8" s="9">
        <v>1.397</v>
      </c>
      <c r="O8" s="128"/>
    </row>
    <row r="9" spans="2:15" x14ac:dyDescent="0.25">
      <c r="B9" s="135" t="s">
        <v>23</v>
      </c>
      <c r="C9" s="8"/>
      <c r="D9" s="8"/>
      <c r="E9" s="11"/>
      <c r="F9" s="130"/>
      <c r="I9" s="26" t="s">
        <v>13</v>
      </c>
      <c r="J9" s="71">
        <v>1.3</v>
      </c>
      <c r="K9" s="71">
        <v>0.8</v>
      </c>
      <c r="L9" s="71">
        <v>0.8</v>
      </c>
      <c r="M9" s="71">
        <v>0.8</v>
      </c>
      <c r="N9" s="9">
        <v>0.14899999999999999</v>
      </c>
      <c r="O9" s="128"/>
    </row>
    <row r="10" spans="2:15" x14ac:dyDescent="0.25">
      <c r="B10" s="55" t="s">
        <v>38</v>
      </c>
      <c r="C10" s="131">
        <v>450</v>
      </c>
      <c r="D10" s="131" t="s">
        <v>43</v>
      </c>
      <c r="E10" s="11"/>
      <c r="F10" s="121"/>
      <c r="I10" s="45"/>
      <c r="J10" s="2"/>
      <c r="K10" s="2"/>
      <c r="L10" s="2"/>
      <c r="M10" s="2"/>
      <c r="N10" s="46"/>
      <c r="O10" s="128"/>
    </row>
    <row r="11" spans="2:15" x14ac:dyDescent="0.25">
      <c r="B11" s="55" t="s">
        <v>56</v>
      </c>
      <c r="C11" s="131">
        <v>1.125</v>
      </c>
      <c r="D11" s="131" t="s">
        <v>39</v>
      </c>
      <c r="E11" s="9"/>
      <c r="F11" s="122"/>
      <c r="I11" s="45" t="s">
        <v>53</v>
      </c>
      <c r="J11" s="2"/>
      <c r="K11" s="2"/>
      <c r="L11" s="2"/>
      <c r="M11" s="2"/>
      <c r="N11" s="46"/>
      <c r="O11" s="47"/>
    </row>
    <row r="12" spans="2:15" x14ac:dyDescent="0.25">
      <c r="B12" s="10"/>
      <c r="C12" s="131"/>
      <c r="D12" s="131"/>
      <c r="E12" s="9"/>
      <c r="F12" s="121"/>
      <c r="I12" s="10"/>
      <c r="J12" s="1"/>
      <c r="K12" s="1"/>
      <c r="L12" s="1"/>
      <c r="M12" s="1"/>
      <c r="N12" s="9"/>
    </row>
    <row r="13" spans="2:15" x14ac:dyDescent="0.25">
      <c r="B13" s="135" t="s">
        <v>53</v>
      </c>
      <c r="C13" s="131"/>
      <c r="D13" s="131"/>
      <c r="E13" s="9"/>
      <c r="F13" s="122"/>
      <c r="I13" s="30" t="s">
        <v>67</v>
      </c>
      <c r="J13" s="1"/>
      <c r="K13" s="1"/>
      <c r="L13" s="1"/>
      <c r="M13" s="1"/>
      <c r="N13" s="9"/>
    </row>
    <row r="14" spans="2:15" s="72" customFormat="1" x14ac:dyDescent="0.25">
      <c r="B14" s="116" t="s">
        <v>54</v>
      </c>
      <c r="C14" s="37">
        <v>30</v>
      </c>
      <c r="D14" s="131" t="s">
        <v>40</v>
      </c>
      <c r="E14" s="9"/>
      <c r="I14" s="10"/>
      <c r="J14" s="1"/>
      <c r="K14" s="1"/>
      <c r="L14" s="1"/>
      <c r="M14" s="1"/>
      <c r="N14" s="9"/>
      <c r="O14"/>
    </row>
    <row r="15" spans="2:15" s="72" customFormat="1" x14ac:dyDescent="0.25">
      <c r="B15" s="48"/>
      <c r="C15" s="131"/>
      <c r="D15" s="131"/>
      <c r="E15" s="9"/>
      <c r="I15" s="31" t="s">
        <v>16</v>
      </c>
      <c r="J15" s="32" t="s">
        <v>71</v>
      </c>
      <c r="K15" s="32" t="s">
        <v>70</v>
      </c>
      <c r="L15" s="32" t="s">
        <v>5</v>
      </c>
      <c r="M15" s="32" t="s">
        <v>23</v>
      </c>
      <c r="N15" s="63" t="s">
        <v>32</v>
      </c>
      <c r="O15"/>
    </row>
    <row r="16" spans="2:15" x14ac:dyDescent="0.25">
      <c r="B16" s="10" t="s">
        <v>57</v>
      </c>
      <c r="C16" s="36">
        <v>5</v>
      </c>
      <c r="D16" s="131" t="s">
        <v>36</v>
      </c>
      <c r="E16" s="9"/>
      <c r="G16" s="115"/>
      <c r="I16" s="31" t="s">
        <v>12</v>
      </c>
      <c r="J16" s="57">
        <v>394</v>
      </c>
      <c r="K16" s="57">
        <v>911.6</v>
      </c>
      <c r="L16" s="57"/>
      <c r="M16" s="57">
        <v>683.3</v>
      </c>
      <c r="N16" s="9"/>
      <c r="O16" s="72"/>
    </row>
    <row r="17" spans="1:18" x14ac:dyDescent="0.25">
      <c r="B17" s="38" t="s">
        <v>58</v>
      </c>
      <c r="C17" s="134">
        <v>2</v>
      </c>
      <c r="D17" s="131" t="s">
        <v>36</v>
      </c>
      <c r="E17" s="9"/>
      <c r="I17" s="26" t="s">
        <v>14</v>
      </c>
      <c r="J17" s="57">
        <v>0</v>
      </c>
      <c r="K17" s="57">
        <v>1.7</v>
      </c>
      <c r="L17" s="57">
        <v>0</v>
      </c>
      <c r="M17" s="57">
        <v>1.8</v>
      </c>
      <c r="N17" s="9"/>
      <c r="O17" s="22"/>
      <c r="Q17" s="119"/>
    </row>
    <row r="18" spans="1:18" s="72" customFormat="1" x14ac:dyDescent="0.25">
      <c r="B18" s="38" t="s">
        <v>59</v>
      </c>
      <c r="C18" s="39">
        <v>0</v>
      </c>
      <c r="D18" s="131" t="s">
        <v>36</v>
      </c>
      <c r="E18" s="9"/>
      <c r="I18" s="26" t="s">
        <v>15</v>
      </c>
      <c r="J18" s="57">
        <v>0.3</v>
      </c>
      <c r="K18" s="57">
        <v>1.8</v>
      </c>
      <c r="L18" s="57">
        <v>0</v>
      </c>
      <c r="M18" s="57">
        <v>2.5</v>
      </c>
      <c r="N18" s="9"/>
      <c r="O18"/>
      <c r="Q18"/>
      <c r="R18"/>
    </row>
    <row r="19" spans="1:18" s="72" customFormat="1" x14ac:dyDescent="0.25">
      <c r="B19" s="38" t="s">
        <v>60</v>
      </c>
      <c r="C19" s="39">
        <v>0</v>
      </c>
      <c r="D19" s="131" t="s">
        <v>36</v>
      </c>
      <c r="E19" s="9"/>
      <c r="I19" s="26" t="s">
        <v>13</v>
      </c>
      <c r="J19" s="57">
        <v>0</v>
      </c>
      <c r="K19" s="57">
        <v>1</v>
      </c>
      <c r="L19" s="57">
        <v>0</v>
      </c>
      <c r="M19" s="57">
        <v>0.8</v>
      </c>
      <c r="N19" s="9"/>
      <c r="O19"/>
    </row>
    <row r="20" spans="1:18" x14ac:dyDescent="0.25">
      <c r="B20" s="10" t="s">
        <v>61</v>
      </c>
      <c r="C20" s="36">
        <v>1.5</v>
      </c>
      <c r="D20" s="131" t="s">
        <v>36</v>
      </c>
      <c r="E20" s="9"/>
      <c r="I20" s="10"/>
      <c r="J20" s="66"/>
      <c r="K20" s="66"/>
      <c r="L20" s="66"/>
      <c r="M20" s="66"/>
      <c r="N20" s="9"/>
    </row>
    <row r="21" spans="1:18" s="72" customFormat="1" ht="30" x14ac:dyDescent="0.25">
      <c r="B21" s="147" t="s">
        <v>62</v>
      </c>
      <c r="C21" s="36">
        <v>0.05</v>
      </c>
      <c r="D21" s="131" t="s">
        <v>36</v>
      </c>
      <c r="E21" s="9"/>
      <c r="I21" s="33" t="s">
        <v>68</v>
      </c>
      <c r="J21" s="69">
        <v>10.4</v>
      </c>
      <c r="K21" s="69">
        <v>16.100000000000001</v>
      </c>
      <c r="L21" s="69">
        <v>40.6</v>
      </c>
      <c r="M21" s="69">
        <f>2.3+8.3+0.5+1.5</f>
        <v>12.600000000000001</v>
      </c>
      <c r="N21" s="69">
        <v>20.3</v>
      </c>
      <c r="O21"/>
    </row>
    <row r="22" spans="1:18" ht="15.75" thickBot="1" x14ac:dyDescent="0.3">
      <c r="B22" s="117" t="s">
        <v>55</v>
      </c>
      <c r="C22" s="40">
        <f>+C20+C17+C16+C21</f>
        <v>8.5500000000000007</v>
      </c>
      <c r="D22" s="40" t="s">
        <v>36</v>
      </c>
      <c r="E22" s="15"/>
      <c r="I22" s="34"/>
      <c r="J22" s="25"/>
      <c r="K22" s="25"/>
      <c r="L22" s="1"/>
      <c r="M22" s="1"/>
      <c r="N22" s="9"/>
    </row>
    <row r="23" spans="1:18" s="72" customFormat="1" ht="30.75" thickBot="1" x14ac:dyDescent="0.3">
      <c r="A23" s="1"/>
      <c r="B23" s="110"/>
      <c r="C23" s="40"/>
      <c r="D23" s="84"/>
      <c r="E23" s="1"/>
      <c r="I23" s="156" t="s">
        <v>69</v>
      </c>
      <c r="J23" s="1"/>
      <c r="K23" s="1"/>
      <c r="L23" s="1"/>
      <c r="M23" s="1"/>
      <c r="N23" s="9"/>
      <c r="O23"/>
    </row>
    <row r="24" spans="1:18" ht="15.75" thickBot="1" x14ac:dyDescent="0.3">
      <c r="B24" s="88" t="s">
        <v>63</v>
      </c>
      <c r="C24" s="89"/>
      <c r="D24" s="21"/>
      <c r="I24" s="31" t="s">
        <v>16</v>
      </c>
      <c r="J24" s="32" t="s">
        <v>71</v>
      </c>
      <c r="K24" s="32" t="s">
        <v>70</v>
      </c>
      <c r="L24" s="32" t="s">
        <v>5</v>
      </c>
      <c r="M24" s="32" t="s">
        <v>23</v>
      </c>
      <c r="N24" s="35" t="s">
        <v>72</v>
      </c>
    </row>
    <row r="25" spans="1:18" x14ac:dyDescent="0.25">
      <c r="B25" s="26"/>
      <c r="C25" s="1"/>
      <c r="D25" s="9"/>
      <c r="I25" s="31" t="s">
        <v>12</v>
      </c>
      <c r="J25" s="57">
        <f t="shared" ref="J25:M28" si="0">J16*J$21/100</f>
        <v>40.976000000000006</v>
      </c>
      <c r="K25" s="57">
        <f t="shared" si="0"/>
        <v>146.76760000000002</v>
      </c>
      <c r="L25" s="57">
        <f t="shared" si="0"/>
        <v>0</v>
      </c>
      <c r="M25" s="57">
        <f t="shared" si="0"/>
        <v>86.095799999999997</v>
      </c>
      <c r="N25" s="60">
        <f>SUM(J25:M25)</f>
        <v>273.83940000000001</v>
      </c>
      <c r="O25" s="72"/>
    </row>
    <row r="26" spans="1:18" x14ac:dyDescent="0.25">
      <c r="B26" s="26" t="s">
        <v>12</v>
      </c>
      <c r="C26" s="27">
        <v>5</v>
      </c>
      <c r="D26" s="9" t="s">
        <v>17</v>
      </c>
      <c r="I26" s="26" t="s">
        <v>14</v>
      </c>
      <c r="J26" s="57">
        <f t="shared" si="0"/>
        <v>0</v>
      </c>
      <c r="K26" s="57">
        <f t="shared" si="0"/>
        <v>0.2737</v>
      </c>
      <c r="L26" s="57">
        <f t="shared" si="0"/>
        <v>0</v>
      </c>
      <c r="M26" s="57">
        <f t="shared" si="0"/>
        <v>0.22680000000000003</v>
      </c>
      <c r="N26" s="60">
        <f>SUM(J26:M26)</f>
        <v>0.50050000000000006</v>
      </c>
      <c r="O26" s="23"/>
    </row>
    <row r="27" spans="1:18" x14ac:dyDescent="0.25">
      <c r="B27" s="26" t="s">
        <v>14</v>
      </c>
      <c r="C27" s="27">
        <v>5600</v>
      </c>
      <c r="D27" s="9" t="s">
        <v>17</v>
      </c>
      <c r="I27" s="26" t="s">
        <v>15</v>
      </c>
      <c r="J27" s="57">
        <f t="shared" si="0"/>
        <v>3.1200000000000002E-2</v>
      </c>
      <c r="K27" s="57">
        <f t="shared" si="0"/>
        <v>0.28980000000000006</v>
      </c>
      <c r="L27" s="57">
        <f t="shared" si="0"/>
        <v>0</v>
      </c>
      <c r="M27" s="57">
        <f t="shared" si="0"/>
        <v>0.31500000000000006</v>
      </c>
      <c r="N27" s="60">
        <f>SUM(J27:M27)</f>
        <v>0.63600000000000012</v>
      </c>
    </row>
    <row r="28" spans="1:18" ht="15.75" thickBot="1" x14ac:dyDescent="0.3">
      <c r="B28" s="26" t="s">
        <v>15</v>
      </c>
      <c r="C28" s="27">
        <v>4400</v>
      </c>
      <c r="D28" s="9" t="s">
        <v>17</v>
      </c>
      <c r="I28" s="28" t="s">
        <v>13</v>
      </c>
      <c r="J28" s="54">
        <f t="shared" si="0"/>
        <v>0</v>
      </c>
      <c r="K28" s="54">
        <f t="shared" si="0"/>
        <v>0.161</v>
      </c>
      <c r="L28" s="54">
        <f t="shared" si="0"/>
        <v>0</v>
      </c>
      <c r="M28" s="54">
        <f t="shared" si="0"/>
        <v>0.10080000000000001</v>
      </c>
      <c r="N28" s="64">
        <f>SUM(J28:M28)</f>
        <v>0.26180000000000003</v>
      </c>
    </row>
    <row r="29" spans="1:18" ht="15.75" thickBot="1" x14ac:dyDescent="0.3">
      <c r="B29" s="28" t="s">
        <v>13</v>
      </c>
      <c r="C29" s="29">
        <v>26000</v>
      </c>
      <c r="D29" s="15" t="s">
        <v>17</v>
      </c>
      <c r="K29" s="5"/>
      <c r="L29" s="5"/>
    </row>
    <row r="30" spans="1:18" ht="15.75" thickBot="1" x14ac:dyDescent="0.3">
      <c r="K30" s="115"/>
    </row>
    <row r="31" spans="1:18" ht="15.75" thickBot="1" x14ac:dyDescent="0.3">
      <c r="B31" s="88" t="s">
        <v>64</v>
      </c>
      <c r="C31" s="89"/>
      <c r="D31" s="21"/>
      <c r="K31" s="120"/>
    </row>
    <row r="32" spans="1:18" s="72" customFormat="1" x14ac:dyDescent="0.25">
      <c r="B32" s="86"/>
      <c r="C32" s="1"/>
      <c r="D32" s="9"/>
      <c r="M32" s="3"/>
    </row>
    <row r="33" spans="2:13" ht="15.75" thickBot="1" x14ac:dyDescent="0.3">
      <c r="B33" s="87" t="s">
        <v>28</v>
      </c>
      <c r="C33" s="52">
        <v>9.4</v>
      </c>
      <c r="D33" s="15" t="s">
        <v>29</v>
      </c>
    </row>
    <row r="37" spans="2:13" s="47" customFormat="1" x14ac:dyDescent="0.25">
      <c r="M37" s="112"/>
    </row>
    <row r="38" spans="2:13" s="47" customFormat="1" x14ac:dyDescent="0.25">
      <c r="M38" s="112"/>
    </row>
    <row r="39" spans="2:13" s="47" customFormat="1" x14ac:dyDescent="0.25">
      <c r="M39" s="112"/>
    </row>
    <row r="40" spans="2:13" s="47" customFormat="1" x14ac:dyDescent="0.25">
      <c r="M40" s="112"/>
    </row>
    <row r="41" spans="2:13" s="47" customFormat="1" x14ac:dyDescent="0.25">
      <c r="M41" s="112"/>
    </row>
    <row r="42" spans="2:13" s="47" customFormat="1" x14ac:dyDescent="0.25">
      <c r="M42" s="112"/>
    </row>
    <row r="43" spans="2:13" s="47" customFormat="1" x14ac:dyDescent="0.25">
      <c r="M43" s="112"/>
    </row>
    <row r="44" spans="2:13" s="47" customFormat="1" x14ac:dyDescent="0.25">
      <c r="M44" s="112"/>
    </row>
    <row r="45" spans="2:13" s="47" customFormat="1" x14ac:dyDescent="0.25">
      <c r="M45" s="112"/>
    </row>
    <row r="50" spans="10:14" s="72" customFormat="1" x14ac:dyDescent="0.25">
      <c r="M50" s="3"/>
    </row>
    <row r="51" spans="10:14" s="22" customFormat="1" x14ac:dyDescent="0.25">
      <c r="M51" s="3"/>
    </row>
    <row r="53" spans="10:14" x14ac:dyDescent="0.25">
      <c r="J53" s="1"/>
      <c r="K53" s="1"/>
      <c r="L53" s="1"/>
      <c r="M53" s="66"/>
      <c r="N53" s="1"/>
    </row>
    <row r="54" spans="10:14" x14ac:dyDescent="0.25">
      <c r="J54" s="1"/>
      <c r="K54" s="1"/>
      <c r="L54" s="1"/>
      <c r="M54" s="66"/>
      <c r="N54" s="1"/>
    </row>
    <row r="55" spans="10:14" ht="15.75" customHeight="1" x14ac:dyDescent="0.25">
      <c r="J55" s="1"/>
      <c r="K55" s="92"/>
      <c r="L55" s="92"/>
      <c r="M55" s="92"/>
      <c r="N55" s="92"/>
    </row>
    <row r="56" spans="10:14" x14ac:dyDescent="0.25">
      <c r="J56" s="1"/>
      <c r="K56" s="1"/>
      <c r="L56" s="1"/>
      <c r="M56" s="66"/>
      <c r="N56" s="1"/>
    </row>
    <row r="57" spans="10:14" x14ac:dyDescent="0.25">
      <c r="J57" s="1"/>
      <c r="K57" s="1"/>
      <c r="L57" s="1"/>
      <c r="M57" s="66"/>
      <c r="N57" s="1"/>
    </row>
    <row r="58" spans="10:14" x14ac:dyDescent="0.25">
      <c r="J58" s="1"/>
      <c r="K58" s="92"/>
      <c r="L58" s="92"/>
      <c r="M58" s="92"/>
      <c r="N58" s="92"/>
    </row>
    <row r="59" spans="10:14" s="72" customFormat="1" x14ac:dyDescent="0.25">
      <c r="J59" s="1"/>
      <c r="K59" s="1"/>
      <c r="L59" s="1"/>
      <c r="M59" s="66"/>
      <c r="N59" s="1"/>
    </row>
    <row r="60" spans="10:14" s="23" customFormat="1" x14ac:dyDescent="0.25">
      <c r="J60" s="1"/>
      <c r="K60" s="1"/>
      <c r="L60" s="1"/>
      <c r="M60" s="66"/>
      <c r="N60" s="1"/>
    </row>
  </sheetData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5" sqref="D5"/>
    </sheetView>
  </sheetViews>
  <sheetFormatPr baseColWidth="10" defaultRowHeight="15" x14ac:dyDescent="0.25"/>
  <cols>
    <col min="1" max="1" width="4.7109375" style="126" customWidth="1"/>
    <col min="2" max="3" width="30.28515625" customWidth="1"/>
  </cols>
  <sheetData>
    <row r="1" spans="2:4" x14ac:dyDescent="0.25">
      <c r="B1" s="136" t="s">
        <v>74</v>
      </c>
    </row>
    <row r="2" spans="2:4" ht="15.75" thickBot="1" x14ac:dyDescent="0.3"/>
    <row r="3" spans="2:4" ht="15.75" thickBot="1" x14ac:dyDescent="0.3">
      <c r="B3" s="19" t="s">
        <v>75</v>
      </c>
      <c r="C3" s="145"/>
    </row>
    <row r="4" spans="2:4" x14ac:dyDescent="0.25">
      <c r="B4" s="10"/>
      <c r="C4" s="132"/>
    </row>
    <row r="5" spans="2:4" x14ac:dyDescent="0.25">
      <c r="B5" s="10" t="s">
        <v>76</v>
      </c>
      <c r="C5" s="132" t="s">
        <v>79</v>
      </c>
    </row>
    <row r="6" spans="2:4" x14ac:dyDescent="0.25">
      <c r="B6" s="10" t="s">
        <v>78</v>
      </c>
      <c r="C6" s="132" t="s">
        <v>79</v>
      </c>
    </row>
    <row r="7" spans="2:4" ht="15.75" thickBot="1" x14ac:dyDescent="0.3">
      <c r="B7" s="17" t="s">
        <v>77</v>
      </c>
      <c r="C7" s="133" t="s">
        <v>79</v>
      </c>
    </row>
    <row r="10" spans="2:4" ht="15.75" thickBot="1" x14ac:dyDescent="0.3"/>
    <row r="11" spans="2:4" ht="15.75" thickBot="1" x14ac:dyDescent="0.3">
      <c r="B11" s="19" t="s">
        <v>89</v>
      </c>
      <c r="C11" s="20"/>
      <c r="D11" s="21"/>
    </row>
    <row r="12" spans="2:4" ht="15.75" thickBot="1" x14ac:dyDescent="0.3">
      <c r="B12" s="10"/>
      <c r="C12" s="82"/>
      <c r="D12" s="9"/>
    </row>
    <row r="13" spans="2:4" ht="15.75" thickBot="1" x14ac:dyDescent="0.3">
      <c r="B13" s="10" t="s">
        <v>80</v>
      </c>
      <c r="C13" s="150">
        <v>1</v>
      </c>
      <c r="D13" s="83" t="s">
        <v>87</v>
      </c>
    </row>
    <row r="14" spans="2:4" ht="15.75" thickBot="1" x14ac:dyDescent="0.3">
      <c r="B14" s="10" t="s">
        <v>81</v>
      </c>
      <c r="C14" s="150">
        <v>2</v>
      </c>
      <c r="D14" s="83" t="s">
        <v>87</v>
      </c>
    </row>
    <row r="15" spans="2:4" ht="15.75" thickBot="1" x14ac:dyDescent="0.3">
      <c r="B15" s="10" t="s">
        <v>82</v>
      </c>
      <c r="C15" s="150">
        <v>700</v>
      </c>
      <c r="D15" s="111" t="s">
        <v>1</v>
      </c>
    </row>
    <row r="16" spans="2:4" ht="15.75" thickBot="1" x14ac:dyDescent="0.3">
      <c r="B16" s="10" t="s">
        <v>83</v>
      </c>
      <c r="C16" s="150">
        <v>52</v>
      </c>
      <c r="D16" s="83" t="s">
        <v>87</v>
      </c>
    </row>
    <row r="17" spans="2:4" ht="15.75" thickBot="1" x14ac:dyDescent="0.3">
      <c r="B17" s="10" t="s">
        <v>84</v>
      </c>
      <c r="C17" s="152">
        <v>8</v>
      </c>
      <c r="D17" s="83" t="s">
        <v>88</v>
      </c>
    </row>
    <row r="18" spans="2:4" ht="15.75" thickBot="1" x14ac:dyDescent="0.3">
      <c r="B18" s="17" t="s">
        <v>85</v>
      </c>
      <c r="C18" s="6">
        <f>C14*C16*C17</f>
        <v>832</v>
      </c>
      <c r="D18" s="83" t="s">
        <v>88</v>
      </c>
    </row>
    <row r="19" spans="2:4" ht="15.75" thickBot="1" x14ac:dyDescent="0.3">
      <c r="B19" s="17" t="s">
        <v>86</v>
      </c>
      <c r="C19" s="91">
        <f>100*C14*C16*C17/(C13*365*24)</f>
        <v>9.4977168949771684</v>
      </c>
      <c r="D19" s="85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A9" sqref="A9"/>
    </sheetView>
  </sheetViews>
  <sheetFormatPr baseColWidth="10" defaultRowHeight="15" x14ac:dyDescent="0.25"/>
  <cols>
    <col min="1" max="1" width="69.42578125" style="126" customWidth="1"/>
    <col min="4" max="4" width="21.28515625" customWidth="1"/>
    <col min="5" max="5" width="18" customWidth="1"/>
    <col min="6" max="6" width="26" customWidth="1"/>
    <col min="7" max="7" width="14.28515625" customWidth="1"/>
    <col min="9" max="9" width="21.85546875" customWidth="1"/>
    <col min="10" max="10" width="11.42578125" customWidth="1"/>
  </cols>
  <sheetData>
    <row r="1" spans="1:9" x14ac:dyDescent="0.25">
      <c r="A1" s="136" t="s">
        <v>91</v>
      </c>
    </row>
    <row r="3" spans="1:9" x14ac:dyDescent="0.25">
      <c r="B3" s="127" t="s">
        <v>34</v>
      </c>
      <c r="C3" s="143" t="s">
        <v>35</v>
      </c>
      <c r="D3" s="127" t="s">
        <v>92</v>
      </c>
      <c r="E3" s="144" t="s">
        <v>93</v>
      </c>
      <c r="F3" s="127" t="s">
        <v>94</v>
      </c>
      <c r="G3" s="127" t="s">
        <v>95</v>
      </c>
      <c r="H3" s="127" t="s">
        <v>96</v>
      </c>
      <c r="I3" s="127" t="s">
        <v>97</v>
      </c>
    </row>
    <row r="4" spans="1:9" x14ac:dyDescent="0.25">
      <c r="A4" s="24" t="s">
        <v>90</v>
      </c>
      <c r="B4" s="148">
        <v>21000</v>
      </c>
      <c r="C4" s="5">
        <f>B4/100</f>
        <v>210</v>
      </c>
      <c r="D4" s="154">
        <f>'Case data'!C17</f>
        <v>8</v>
      </c>
      <c r="E4" s="118">
        <v>1.3</v>
      </c>
      <c r="F4" s="149">
        <v>0.6</v>
      </c>
      <c r="G4" s="149">
        <f>+'Case data'!C16</f>
        <v>52</v>
      </c>
      <c r="H4" s="119">
        <f>C4*D4*E4*F4*G4</f>
        <v>68140.799999999988</v>
      </c>
      <c r="I4" s="119">
        <f>H4*0.5</f>
        <v>34070.399999999994</v>
      </c>
    </row>
    <row r="6" spans="1:9" x14ac:dyDescent="0.25">
      <c r="H6" s="120"/>
      <c r="I6" s="12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workbookViewId="0">
      <selection activeCell="F24" sqref="F24"/>
    </sheetView>
  </sheetViews>
  <sheetFormatPr baseColWidth="10" defaultRowHeight="15" x14ac:dyDescent="0.25"/>
  <cols>
    <col min="2" max="2" width="38.140625" customWidth="1"/>
    <col min="3" max="4" width="27.7109375" customWidth="1"/>
    <col min="5" max="5" width="6.140625" customWidth="1"/>
    <col min="6" max="6" width="30.85546875" customWidth="1"/>
    <col min="7" max="8" width="26.5703125" customWidth="1"/>
  </cols>
  <sheetData>
    <row r="1" spans="2:8" s="126" customFormat="1" ht="15.75" thickBot="1" x14ac:dyDescent="0.3">
      <c r="B1" s="136" t="s">
        <v>98</v>
      </c>
    </row>
    <row r="2" spans="2:8" ht="15.75" thickBot="1" x14ac:dyDescent="0.3">
      <c r="B2" s="126"/>
      <c r="C2" s="137" t="s">
        <v>116</v>
      </c>
      <c r="D2" s="96" t="s">
        <v>3</v>
      </c>
      <c r="G2" s="137" t="s">
        <v>116</v>
      </c>
      <c r="H2" s="96" t="s">
        <v>3</v>
      </c>
    </row>
    <row r="3" spans="2:8" ht="15.75" thickBot="1" x14ac:dyDescent="0.3">
      <c r="B3" s="126"/>
      <c r="C3" s="82"/>
      <c r="D3" s="9"/>
    </row>
    <row r="4" spans="2:8" x14ac:dyDescent="0.25">
      <c r="B4" s="138" t="s">
        <v>99</v>
      </c>
      <c r="C4" s="141"/>
      <c r="D4" s="140"/>
      <c r="F4" s="138" t="s">
        <v>155</v>
      </c>
      <c r="G4" s="139"/>
      <c r="H4" s="140"/>
    </row>
    <row r="5" spans="2:8" x14ac:dyDescent="0.25">
      <c r="B5" s="10"/>
      <c r="C5" s="124"/>
      <c r="D5" s="9"/>
      <c r="F5" s="10" t="s">
        <v>156</v>
      </c>
      <c r="G5" s="131" t="s">
        <v>158</v>
      </c>
      <c r="H5" s="132" t="s">
        <v>30</v>
      </c>
    </row>
    <row r="6" spans="2:8" x14ac:dyDescent="0.25">
      <c r="B6" s="10" t="s">
        <v>100</v>
      </c>
      <c r="C6" s="124"/>
      <c r="D6" s="9"/>
      <c r="F6" s="7" t="s">
        <v>12</v>
      </c>
      <c r="G6" s="36">
        <f>$C$34*('General data'!M6+'General data'!N6)/1000</f>
        <v>384.44806399999993</v>
      </c>
      <c r="H6" s="56">
        <f>$D$34*'General data'!N25/1000000</f>
        <v>159.48406656</v>
      </c>
    </row>
    <row r="7" spans="2:8" x14ac:dyDescent="0.25">
      <c r="B7" s="10" t="s">
        <v>101</v>
      </c>
      <c r="C7" s="124"/>
      <c r="D7" s="9"/>
      <c r="F7" s="7" t="s">
        <v>24</v>
      </c>
      <c r="G7" s="36">
        <f>$C$34*('General data'!M7+'General data'!N7)/1000</f>
        <v>0.6138496</v>
      </c>
      <c r="H7" s="56">
        <f>$D$34*'General data'!N26/1000000</f>
        <v>0.29149120000000001</v>
      </c>
    </row>
    <row r="8" spans="2:8" x14ac:dyDescent="0.25">
      <c r="B8" s="10" t="s">
        <v>102</v>
      </c>
      <c r="C8" s="124"/>
      <c r="D8" s="9"/>
      <c r="F8" s="7" t="s">
        <v>15</v>
      </c>
      <c r="G8" s="36">
        <f>$C$34*('General data'!M8+'General data'!N8)/1000</f>
        <v>3.9996261759999996</v>
      </c>
      <c r="H8" s="56">
        <f>$D$34*'General data'!N27/1000000</f>
        <v>0.37040640000000008</v>
      </c>
    </row>
    <row r="9" spans="2:8" x14ac:dyDescent="0.25">
      <c r="B9" s="10" t="s">
        <v>103</v>
      </c>
      <c r="C9" s="124"/>
      <c r="D9" s="9"/>
      <c r="F9" s="7" t="s">
        <v>13</v>
      </c>
      <c r="G9" s="36">
        <f>$C$34*('General data'!M9+'General data'!N9)/1000</f>
        <v>9.3958591999999994E-2</v>
      </c>
      <c r="H9" s="56">
        <f>$D$34*'General data'!N28/1000000</f>
        <v>0.15247231999999999</v>
      </c>
    </row>
    <row r="10" spans="2:8" x14ac:dyDescent="0.25">
      <c r="B10" s="10" t="s">
        <v>104</v>
      </c>
      <c r="C10" s="124"/>
      <c r="D10" s="9"/>
      <c r="F10" s="10"/>
      <c r="G10" s="131"/>
      <c r="H10" s="9"/>
    </row>
    <row r="11" spans="2:8" x14ac:dyDescent="0.25">
      <c r="B11" s="78" t="s">
        <v>105</v>
      </c>
      <c r="C11" s="102"/>
      <c r="D11" s="151">
        <v>200000</v>
      </c>
      <c r="F11" s="79" t="s">
        <v>157</v>
      </c>
      <c r="G11" s="131" t="s">
        <v>158</v>
      </c>
      <c r="H11" s="132" t="s">
        <v>31</v>
      </c>
    </row>
    <row r="12" spans="2:8" x14ac:dyDescent="0.25">
      <c r="B12" s="78" t="s">
        <v>106</v>
      </c>
      <c r="C12" s="78"/>
      <c r="D12" s="56">
        <f>D11*(100-Simulator!C10)/100</f>
        <v>160000</v>
      </c>
      <c r="F12" s="7" t="s">
        <v>12</v>
      </c>
      <c r="G12" s="65">
        <f>G6*'General data'!C26</f>
        <v>1922.2403199999997</v>
      </c>
      <c r="H12" s="80">
        <f>H6*'General data'!C26</f>
        <v>797.42033279999998</v>
      </c>
    </row>
    <row r="13" spans="2:8" x14ac:dyDescent="0.25">
      <c r="B13" s="10" t="s">
        <v>114</v>
      </c>
      <c r="C13" s="124"/>
      <c r="D13" s="56">
        <f>-PMT(0.06,10,D12,0,0)</f>
        <v>21738.873315261411</v>
      </c>
      <c r="F13" s="7" t="s">
        <v>24</v>
      </c>
      <c r="G13" s="65">
        <f>G7*'General data'!C27</f>
        <v>3437.5577600000001</v>
      </c>
      <c r="H13" s="80">
        <f>H7*'General data'!C27</f>
        <v>1632.3507200000001</v>
      </c>
    </row>
    <row r="14" spans="2:8" ht="15.75" thickBot="1" x14ac:dyDescent="0.3">
      <c r="B14" s="10" t="s">
        <v>113</v>
      </c>
      <c r="C14" s="124"/>
      <c r="D14" s="56">
        <f>D12*0.02</f>
        <v>3200</v>
      </c>
      <c r="F14" s="7" t="s">
        <v>15</v>
      </c>
      <c r="G14" s="65">
        <f>G8*'General data'!C28</f>
        <v>17598.3551744</v>
      </c>
      <c r="H14" s="80">
        <f>H8*'General data'!C28</f>
        <v>1629.7881600000003</v>
      </c>
    </row>
    <row r="15" spans="2:8" ht="15.75" thickBot="1" x14ac:dyDescent="0.3">
      <c r="B15" s="78" t="s">
        <v>107</v>
      </c>
      <c r="C15" s="78"/>
      <c r="D15" s="61">
        <f>+D13+D14</f>
        <v>24938.873315261411</v>
      </c>
      <c r="F15" s="7" t="s">
        <v>13</v>
      </c>
      <c r="G15" s="65">
        <f>G9*'General data'!C29</f>
        <v>2442.9233919999997</v>
      </c>
      <c r="H15" s="80">
        <f>H9*'General data'!C29</f>
        <v>3964.2803199999998</v>
      </c>
    </row>
    <row r="16" spans="2:8" ht="15.75" thickBot="1" x14ac:dyDescent="0.3">
      <c r="B16" s="78"/>
      <c r="C16" s="102"/>
      <c r="D16" s="9"/>
      <c r="F16" s="113" t="s">
        <v>160</v>
      </c>
      <c r="G16" s="58">
        <f>SUM(G12:G15)</f>
        <v>25401.076646400001</v>
      </c>
      <c r="H16" s="58">
        <f>SUM(H12:H15)</f>
        <v>8023.8395328000006</v>
      </c>
    </row>
    <row r="17" spans="2:8" x14ac:dyDescent="0.25">
      <c r="B17" s="77" t="s">
        <v>108</v>
      </c>
      <c r="C17" s="124"/>
      <c r="D17" s="9"/>
      <c r="F17" s="10"/>
      <c r="G17" s="131"/>
      <c r="H17" s="9"/>
    </row>
    <row r="18" spans="2:8" x14ac:dyDescent="0.25">
      <c r="B18" s="10"/>
      <c r="C18" s="124"/>
      <c r="D18" s="9"/>
      <c r="F18" s="81" t="s">
        <v>154</v>
      </c>
      <c r="G18" s="131"/>
      <c r="H18" s="9"/>
    </row>
    <row r="19" spans="2:8" x14ac:dyDescent="0.25">
      <c r="B19" s="10" t="s">
        <v>100</v>
      </c>
      <c r="C19" s="124"/>
      <c r="D19" s="9"/>
      <c r="F19" s="12" t="s">
        <v>161</v>
      </c>
      <c r="G19" s="37">
        <f>IF(Simulator!C24="B",1000,IF(Simulator!C24="M",5000,IF(Simulator!C24="A",50000,0)))</f>
        <v>1000</v>
      </c>
      <c r="H19" s="9" t="s">
        <v>163</v>
      </c>
    </row>
    <row r="20" spans="2:8" ht="15.75" thickBot="1" x14ac:dyDescent="0.3">
      <c r="B20" s="10" t="s">
        <v>109</v>
      </c>
      <c r="C20" s="124"/>
      <c r="D20" s="9"/>
      <c r="F20" s="12" t="s">
        <v>162</v>
      </c>
      <c r="G20" s="37">
        <v>1</v>
      </c>
      <c r="H20" s="9" t="s">
        <v>25</v>
      </c>
    </row>
    <row r="21" spans="2:8" ht="15.75" thickBot="1" x14ac:dyDescent="0.3">
      <c r="B21" s="10" t="s">
        <v>110</v>
      </c>
      <c r="C21" s="124"/>
      <c r="D21" s="9"/>
      <c r="F21" s="114" t="s">
        <v>159</v>
      </c>
      <c r="G21" s="75">
        <f>G19*G20*'General data'!C33</f>
        <v>9400</v>
      </c>
      <c r="H21" s="15">
        <v>0</v>
      </c>
    </row>
    <row r="22" spans="2:8" x14ac:dyDescent="0.25">
      <c r="B22" s="10" t="s">
        <v>111</v>
      </c>
      <c r="C22" s="124"/>
      <c r="D22" s="9"/>
    </row>
    <row r="23" spans="2:8" x14ac:dyDescent="0.25">
      <c r="B23" s="10" t="s">
        <v>112</v>
      </c>
      <c r="C23" s="124"/>
      <c r="D23" s="9"/>
    </row>
    <row r="24" spans="2:8" x14ac:dyDescent="0.25">
      <c r="B24" s="78" t="s">
        <v>105</v>
      </c>
      <c r="C24" s="102"/>
      <c r="D24" s="151">
        <v>300000</v>
      </c>
    </row>
    <row r="25" spans="2:8" x14ac:dyDescent="0.25">
      <c r="B25" s="78" t="s">
        <v>106</v>
      </c>
      <c r="C25" s="78"/>
      <c r="D25" s="56">
        <f>D24*(100-Simulator!C11)/100</f>
        <v>240000</v>
      </c>
    </row>
    <row r="26" spans="2:8" x14ac:dyDescent="0.25">
      <c r="B26" s="10" t="s">
        <v>114</v>
      </c>
      <c r="C26" s="103"/>
      <c r="D26" s="56">
        <f>-PMT(0.06,10,D25,0,0)</f>
        <v>32608.309972892122</v>
      </c>
    </row>
    <row r="27" spans="2:8" ht="15.75" thickBot="1" x14ac:dyDescent="0.3">
      <c r="B27" s="10" t="s">
        <v>113</v>
      </c>
      <c r="C27" s="124"/>
      <c r="D27" s="56">
        <f>D25*0.02</f>
        <v>4800</v>
      </c>
    </row>
    <row r="28" spans="2:8" ht="15.75" thickBot="1" x14ac:dyDescent="0.3">
      <c r="B28" s="78" t="s">
        <v>115</v>
      </c>
      <c r="C28" s="78"/>
      <c r="D28" s="61">
        <f>D26+D27</f>
        <v>37408.309972892122</v>
      </c>
    </row>
    <row r="29" spans="2:8" x14ac:dyDescent="0.25">
      <c r="B29" s="10"/>
      <c r="C29" s="124"/>
      <c r="D29" s="9"/>
    </row>
    <row r="30" spans="2:8" x14ac:dyDescent="0.25">
      <c r="B30" s="77" t="s">
        <v>23</v>
      </c>
      <c r="C30" s="124"/>
      <c r="D30" s="9"/>
    </row>
    <row r="31" spans="2:8" x14ac:dyDescent="0.25">
      <c r="B31" s="10"/>
      <c r="C31" s="125" t="s">
        <v>37</v>
      </c>
      <c r="D31" s="63" t="s">
        <v>1</v>
      </c>
    </row>
    <row r="32" spans="2:8" x14ac:dyDescent="0.25">
      <c r="B32" s="10" t="s">
        <v>117</v>
      </c>
      <c r="C32" s="131">
        <v>170</v>
      </c>
      <c r="D32" s="108">
        <f>+'Case data'!C15</f>
        <v>700</v>
      </c>
    </row>
    <row r="33" spans="2:5" x14ac:dyDescent="0.25">
      <c r="B33" s="10"/>
      <c r="C33" s="125" t="s">
        <v>2</v>
      </c>
      <c r="D33" s="109" t="s">
        <v>26</v>
      </c>
    </row>
    <row r="34" spans="2:5" ht="15.75" thickBot="1" x14ac:dyDescent="0.3">
      <c r="B34" s="55" t="s">
        <v>118</v>
      </c>
      <c r="C34" s="93">
        <f>D34*C32/1000000</f>
        <v>99.007999999999996</v>
      </c>
      <c r="D34" s="94">
        <f>D32*'Case data'!C18</f>
        <v>582400</v>
      </c>
    </row>
    <row r="35" spans="2:5" ht="15.75" thickBot="1" x14ac:dyDescent="0.3">
      <c r="B35" s="106" t="s">
        <v>119</v>
      </c>
      <c r="C35" s="70">
        <f>C34*'General data'!C10/'General data'!C11</f>
        <v>39603.199999999997</v>
      </c>
      <c r="D35" s="59">
        <f>'Case data'!C13*'Case data'!C15*'General data'!C14+(D34*'General data'!C22)/100</f>
        <v>70795.199999999997</v>
      </c>
    </row>
    <row r="36" spans="2:5" x14ac:dyDescent="0.25">
      <c r="B36" s="77" t="s">
        <v>120</v>
      </c>
      <c r="C36" s="131"/>
      <c r="D36" s="9"/>
    </row>
    <row r="37" spans="2:5" ht="15.75" thickBot="1" x14ac:dyDescent="0.3">
      <c r="B37" s="107" t="s">
        <v>121</v>
      </c>
      <c r="C37" s="131">
        <v>1.6</v>
      </c>
      <c r="D37" s="9"/>
    </row>
    <row r="38" spans="2:5" ht="15.75" thickBot="1" x14ac:dyDescent="0.3">
      <c r="B38" s="106" t="s">
        <v>122</v>
      </c>
      <c r="C38" s="62">
        <f>C37*'Case data'!C18</f>
        <v>1331.2</v>
      </c>
      <c r="D38" s="9"/>
    </row>
    <row r="39" spans="2:5" ht="15.75" thickBot="1" x14ac:dyDescent="0.3">
      <c r="B39" s="105"/>
      <c r="C39" s="93"/>
      <c r="D39" s="9"/>
    </row>
    <row r="40" spans="2:5" ht="15.75" thickBot="1" x14ac:dyDescent="0.3">
      <c r="B40" s="104" t="s">
        <v>123</v>
      </c>
      <c r="C40" s="93"/>
      <c r="D40" s="62">
        <f>-'Case data'!C14*'Port dues reduction'!I4</f>
        <v>-68140.799999999988</v>
      </c>
    </row>
    <row r="41" spans="2:5" ht="15.75" thickBot="1" x14ac:dyDescent="0.3">
      <c r="B41" s="78"/>
      <c r="C41" s="93"/>
      <c r="D41" s="94"/>
    </row>
    <row r="42" spans="2:5" ht="15.75" thickBot="1" x14ac:dyDescent="0.3">
      <c r="B42" s="142" t="s">
        <v>124</v>
      </c>
      <c r="C42" s="62">
        <f>+C35+C38</f>
        <v>40934.399999999994</v>
      </c>
      <c r="D42" s="62">
        <f>+D15+D28+D35+D40</f>
        <v>65001.583288153546</v>
      </c>
    </row>
    <row r="43" spans="2:5" x14ac:dyDescent="0.25">
      <c r="B43" s="126"/>
      <c r="C43" s="82"/>
      <c r="D43" s="126"/>
      <c r="E43" s="1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zoomScaleNormal="100" workbookViewId="0">
      <selection activeCell="F28" sqref="F28"/>
    </sheetView>
  </sheetViews>
  <sheetFormatPr baseColWidth="10" defaultRowHeight="15" x14ac:dyDescent="0.25"/>
  <cols>
    <col min="2" max="2" width="47" customWidth="1"/>
    <col min="3" max="3" width="16.42578125" style="5" customWidth="1"/>
    <col min="4" max="4" width="11.5703125" customWidth="1"/>
    <col min="5" max="5" width="4.28515625" customWidth="1"/>
    <col min="6" max="6" width="50" customWidth="1"/>
    <col min="7" max="8" width="18.5703125" customWidth="1"/>
  </cols>
  <sheetData>
    <row r="1" spans="2:8" x14ac:dyDescent="0.25">
      <c r="B1" s="136" t="s">
        <v>132</v>
      </c>
    </row>
    <row r="2" spans="2:8" ht="15.75" thickBot="1" x14ac:dyDescent="0.3"/>
    <row r="3" spans="2:8" ht="15.75" thickBot="1" x14ac:dyDescent="0.3">
      <c r="B3" s="19" t="s">
        <v>133</v>
      </c>
      <c r="C3" s="20"/>
      <c r="D3" s="21"/>
      <c r="F3" s="19" t="s">
        <v>130</v>
      </c>
      <c r="G3" s="95" t="s">
        <v>116</v>
      </c>
      <c r="H3" s="96" t="s">
        <v>3</v>
      </c>
    </row>
    <row r="4" spans="2:8" ht="15.75" thickBot="1" x14ac:dyDescent="0.3">
      <c r="B4" s="10"/>
      <c r="C4" s="8"/>
      <c r="D4" s="9"/>
      <c r="F4" s="74"/>
      <c r="G4" s="99"/>
      <c r="H4" s="100" t="s">
        <v>4</v>
      </c>
    </row>
    <row r="5" spans="2:8" ht="15.75" thickBot="1" x14ac:dyDescent="0.3">
      <c r="B5" s="48" t="s">
        <v>134</v>
      </c>
      <c r="C5" s="6" t="s">
        <v>6</v>
      </c>
      <c r="D5" s="9"/>
      <c r="F5" s="45" t="s">
        <v>129</v>
      </c>
      <c r="G5" s="44"/>
      <c r="H5" s="101">
        <f>+Calculation!D11+Calculation!D24</f>
        <v>500000</v>
      </c>
    </row>
    <row r="6" spans="2:8" x14ac:dyDescent="0.25">
      <c r="B6" s="7" t="s">
        <v>135</v>
      </c>
      <c r="C6" s="8"/>
      <c r="D6" s="9"/>
      <c r="F6" s="74"/>
      <c r="G6" s="44"/>
      <c r="H6" s="46"/>
    </row>
    <row r="7" spans="2:8" ht="15.75" thickBot="1" x14ac:dyDescent="0.3">
      <c r="B7" s="7" t="s">
        <v>136</v>
      </c>
      <c r="C7" s="8"/>
      <c r="D7" s="9"/>
      <c r="F7" s="10"/>
      <c r="G7" s="68" t="s">
        <v>4</v>
      </c>
      <c r="H7" s="68" t="s">
        <v>4</v>
      </c>
    </row>
    <row r="8" spans="2:8" ht="15.75" thickBot="1" x14ac:dyDescent="0.3">
      <c r="B8" s="10"/>
      <c r="C8" s="8"/>
      <c r="D8" s="9"/>
      <c r="F8" s="48" t="s">
        <v>128</v>
      </c>
      <c r="G8" s="58">
        <f>SUM(G9:G11)</f>
        <v>75735.476646399999</v>
      </c>
      <c r="H8" s="58">
        <f>SUM(H9:H11)</f>
        <v>73025.42282095355</v>
      </c>
    </row>
    <row r="9" spans="2:8" s="72" customFormat="1" ht="15.75" thickBot="1" x14ac:dyDescent="0.3">
      <c r="B9" s="48" t="s">
        <v>137</v>
      </c>
      <c r="C9" s="8"/>
      <c r="D9" s="9"/>
      <c r="F9" s="7" t="s">
        <v>125</v>
      </c>
      <c r="G9" s="36">
        <f>+Calculation!C42</f>
        <v>40934.399999999994</v>
      </c>
      <c r="H9" s="73">
        <f>Calculation!D42</f>
        <v>65001.583288153546</v>
      </c>
    </row>
    <row r="10" spans="2:8" s="72" customFormat="1" ht="15.75" thickBot="1" x14ac:dyDescent="0.3">
      <c r="B10" s="10" t="s">
        <v>138</v>
      </c>
      <c r="C10" s="150">
        <v>20</v>
      </c>
      <c r="D10" s="132" t="s">
        <v>11</v>
      </c>
      <c r="F10" s="7" t="s">
        <v>126</v>
      </c>
      <c r="G10" s="36">
        <f>+Calculation!G16</f>
        <v>25401.076646400001</v>
      </c>
      <c r="H10" s="73">
        <f>+Calculation!H16</f>
        <v>8023.8395328000006</v>
      </c>
    </row>
    <row r="11" spans="2:8" s="72" customFormat="1" ht="15.75" thickBot="1" x14ac:dyDescent="0.3">
      <c r="B11" s="10" t="s">
        <v>139</v>
      </c>
      <c r="C11" s="150">
        <v>20</v>
      </c>
      <c r="D11" s="132" t="s">
        <v>11</v>
      </c>
      <c r="F11" s="7" t="s">
        <v>127</v>
      </c>
      <c r="G11" s="36">
        <f>+Calculation!G21</f>
        <v>9400</v>
      </c>
      <c r="H11" s="73">
        <v>0</v>
      </c>
    </row>
    <row r="12" spans="2:8" s="72" customFormat="1" ht="15.75" thickBot="1" x14ac:dyDescent="0.3">
      <c r="B12" s="10" t="s">
        <v>140</v>
      </c>
      <c r="C12" s="75">
        <f>Calculation!D40</f>
        <v>-68140.799999999988</v>
      </c>
      <c r="D12" s="132" t="s">
        <v>39</v>
      </c>
      <c r="F12" s="7"/>
      <c r="G12" s="36"/>
      <c r="H12" s="73"/>
    </row>
    <row r="13" spans="2:8" s="72" customFormat="1" ht="15.75" thickBot="1" x14ac:dyDescent="0.3">
      <c r="B13" s="10"/>
      <c r="C13" s="8"/>
      <c r="D13" s="9"/>
      <c r="F13" s="7"/>
      <c r="G13" s="68" t="s">
        <v>33</v>
      </c>
      <c r="H13" s="63" t="s">
        <v>0</v>
      </c>
    </row>
    <row r="14" spans="2:8" s="72" customFormat="1" ht="15.75" thickBot="1" x14ac:dyDescent="0.3">
      <c r="B14" s="48" t="s">
        <v>141</v>
      </c>
      <c r="C14" s="76" t="s">
        <v>10</v>
      </c>
      <c r="D14" s="9"/>
      <c r="F14" s="48" t="s">
        <v>55</v>
      </c>
      <c r="G14" s="70">
        <f>+Calculation!C34</f>
        <v>99.007999999999996</v>
      </c>
      <c r="H14" s="70">
        <f>+Calculation!D34</f>
        <v>582400</v>
      </c>
    </row>
    <row r="15" spans="2:8" s="72" customFormat="1" x14ac:dyDescent="0.25">
      <c r="B15" s="7" t="s">
        <v>142</v>
      </c>
      <c r="C15" s="8"/>
      <c r="D15" s="11"/>
      <c r="F15" s="10"/>
      <c r="G15" s="82"/>
      <c r="H15" s="83"/>
    </row>
    <row r="16" spans="2:8" s="72" customFormat="1" x14ac:dyDescent="0.25">
      <c r="B16" s="7" t="s">
        <v>143</v>
      </c>
      <c r="C16" s="8"/>
      <c r="D16" s="11"/>
      <c r="F16" s="48" t="s">
        <v>131</v>
      </c>
      <c r="G16" s="82"/>
      <c r="H16" s="63" t="s">
        <v>33</v>
      </c>
    </row>
    <row r="17" spans="2:8" s="72" customFormat="1" x14ac:dyDescent="0.25">
      <c r="B17" s="7" t="s">
        <v>144</v>
      </c>
      <c r="C17" s="8"/>
      <c r="D17" s="11"/>
      <c r="F17" s="7" t="s">
        <v>12</v>
      </c>
      <c r="G17" s="82"/>
      <c r="H17" s="97">
        <f>+Calculation!G6-Calculation!H6</f>
        <v>224.96399743999993</v>
      </c>
    </row>
    <row r="18" spans="2:8" s="72" customFormat="1" ht="15.75" thickBot="1" x14ac:dyDescent="0.3">
      <c r="B18" s="10"/>
      <c r="C18" s="8"/>
      <c r="D18" s="9"/>
      <c r="F18" s="7" t="s">
        <v>24</v>
      </c>
      <c r="G18" s="82"/>
      <c r="H18" s="97">
        <f>+Calculation!G7-Calculation!H7</f>
        <v>0.32235839999999999</v>
      </c>
    </row>
    <row r="19" spans="2:8" ht="15.75" thickBot="1" x14ac:dyDescent="0.3">
      <c r="B19" s="48" t="s">
        <v>145</v>
      </c>
      <c r="C19" s="6">
        <v>10</v>
      </c>
      <c r="D19" s="132" t="s">
        <v>7</v>
      </c>
      <c r="F19" s="7" t="s">
        <v>15</v>
      </c>
      <c r="G19" s="82"/>
      <c r="H19" s="97">
        <f>+Calculation!G8-Calculation!H8</f>
        <v>3.6292197759999993</v>
      </c>
    </row>
    <row r="20" spans="2:8" ht="15.75" thickBot="1" x14ac:dyDescent="0.3">
      <c r="B20" s="7" t="s">
        <v>146</v>
      </c>
      <c r="C20" s="8"/>
      <c r="D20" s="11"/>
      <c r="F20" s="18" t="s">
        <v>13</v>
      </c>
      <c r="G20" s="84"/>
      <c r="H20" s="98">
        <f>+Calculation!G9-Calculation!H9</f>
        <v>-5.8513728000000001E-2</v>
      </c>
    </row>
    <row r="21" spans="2:8" x14ac:dyDescent="0.25">
      <c r="B21" s="7" t="s">
        <v>147</v>
      </c>
      <c r="C21" s="8"/>
      <c r="D21" s="11"/>
    </row>
    <row r="22" spans="2:8" x14ac:dyDescent="0.25">
      <c r="B22" s="7" t="s">
        <v>148</v>
      </c>
      <c r="C22" s="8"/>
      <c r="D22" s="11"/>
    </row>
    <row r="23" spans="2:8" ht="15.75" thickBot="1" x14ac:dyDescent="0.3">
      <c r="B23" s="10"/>
      <c r="C23" s="8"/>
      <c r="D23" s="9"/>
    </row>
    <row r="24" spans="2:8" ht="15.75" thickBot="1" x14ac:dyDescent="0.3">
      <c r="B24" s="146" t="s">
        <v>149</v>
      </c>
      <c r="C24" s="6" t="s">
        <v>9</v>
      </c>
      <c r="D24" s="9"/>
    </row>
    <row r="25" spans="2:8" x14ac:dyDescent="0.25">
      <c r="B25" s="13" t="s">
        <v>150</v>
      </c>
      <c r="C25" s="8"/>
      <c r="D25" s="9"/>
    </row>
    <row r="26" spans="2:8" x14ac:dyDescent="0.25">
      <c r="B26" s="13" t="s">
        <v>151</v>
      </c>
      <c r="C26" s="8"/>
      <c r="D26" s="9"/>
    </row>
    <row r="27" spans="2:8" x14ac:dyDescent="0.25">
      <c r="B27" s="13" t="s">
        <v>152</v>
      </c>
      <c r="C27" s="8"/>
      <c r="D27" s="9"/>
    </row>
    <row r="28" spans="2:8" ht="15.75" thickBot="1" x14ac:dyDescent="0.3">
      <c r="B28" s="12"/>
      <c r="C28" s="8"/>
      <c r="D28" s="9"/>
    </row>
    <row r="29" spans="2:8" ht="15.75" thickBot="1" x14ac:dyDescent="0.3">
      <c r="B29" s="146" t="s">
        <v>153</v>
      </c>
      <c r="C29" s="6" t="s">
        <v>8</v>
      </c>
      <c r="D29" s="9"/>
    </row>
    <row r="30" spans="2:8" x14ac:dyDescent="0.25">
      <c r="B30" s="13" t="s">
        <v>42</v>
      </c>
      <c r="C30" s="8"/>
      <c r="D30" s="9"/>
    </row>
    <row r="31" spans="2:8" ht="15.75" thickBot="1" x14ac:dyDescent="0.3">
      <c r="B31" s="14" t="s">
        <v>41</v>
      </c>
      <c r="C31" s="16"/>
      <c r="D31" s="15"/>
    </row>
    <row r="36" spans="5:5" s="23" customFormat="1" x14ac:dyDescent="0.25"/>
    <row r="38" spans="5:5" s="72" customFormat="1" x14ac:dyDescent="0.25"/>
    <row r="40" spans="5:5" x14ac:dyDescent="0.25">
      <c r="E40" s="123"/>
    </row>
    <row r="41" spans="5:5" s="72" customFormat="1" x14ac:dyDescent="0.25"/>
    <row r="46" spans="5:5" s="72" customFormat="1" x14ac:dyDescent="0.25"/>
    <row r="47" spans="5:5" s="72" customFormat="1" x14ac:dyDescent="0.25"/>
    <row r="48" spans="5:5" s="72" customFormat="1" x14ac:dyDescent="0.25"/>
    <row r="51" s="23" customFormat="1" x14ac:dyDescent="0.25"/>
    <row r="54" s="72" customFormat="1" x14ac:dyDescent="0.25"/>
    <row r="59" s="23" customFormat="1" x14ac:dyDescent="0.25"/>
    <row r="65" spans="6:6" s="72" customFormat="1" x14ac:dyDescent="0.25"/>
    <row r="73" spans="6:6" s="72" customFormat="1" x14ac:dyDescent="0.25"/>
    <row r="77" spans="6:6" x14ac:dyDescent="0.25">
      <c r="F77" s="90"/>
    </row>
    <row r="86" spans="5:7" s="72" customFormat="1" x14ac:dyDescent="0.25"/>
    <row r="88" spans="5:7" s="72" customFormat="1" x14ac:dyDescent="0.25"/>
    <row r="89" spans="5:7" s="72" customFormat="1" x14ac:dyDescent="0.25"/>
    <row r="92" spans="5:7" s="72" customFormat="1" x14ac:dyDescent="0.25"/>
    <row r="94" spans="5:7" x14ac:dyDescent="0.25">
      <c r="G94" s="120"/>
    </row>
    <row r="96" spans="5:7" s="72" customFormat="1" x14ac:dyDescent="0.25">
      <c r="E96" s="120"/>
    </row>
    <row r="102" spans="1:1" s="72" customFormat="1" x14ac:dyDescent="0.25"/>
    <row r="103" spans="1:1" s="72" customFormat="1" x14ac:dyDescent="0.25"/>
    <row r="104" spans="1:1" s="72" customFormat="1" x14ac:dyDescent="0.25"/>
    <row r="105" spans="1:1" s="72" customFormat="1" x14ac:dyDescent="0.25"/>
    <row r="106" spans="1:1" x14ac:dyDescent="0.25">
      <c r="A106" s="72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23"/>
    </row>
  </sheetData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Instructions</vt:lpstr>
      <vt:lpstr>General data</vt:lpstr>
      <vt:lpstr>Case data</vt:lpstr>
      <vt:lpstr>Port dues reduction</vt:lpstr>
      <vt:lpstr>Calculation</vt:lpstr>
      <vt:lpstr>Simulator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Alfaya</dc:creator>
  <cp:lastModifiedBy>Julio de la Cueva</cp:lastModifiedBy>
  <cp:lastPrinted>2017-04-04T12:11:58Z</cp:lastPrinted>
  <dcterms:created xsi:type="dcterms:W3CDTF">2016-03-07T10:42:22Z</dcterms:created>
  <dcterms:modified xsi:type="dcterms:W3CDTF">2017-06-14T09:28:40Z</dcterms:modified>
</cp:coreProperties>
</file>